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dsay.carpenter/Documents/NEOA/2023-2024 Board meetings/"/>
    </mc:Choice>
  </mc:AlternateContent>
  <xr:revisionPtr revIDLastSave="0" documentId="8_{0270D88A-CDBE-FF4B-9657-D36CA5813C4D}" xr6:coauthVersionLast="47" xr6:coauthVersionMax="47" xr10:uidLastSave="{00000000-0000-0000-0000-000000000000}"/>
  <bookViews>
    <workbookView xWindow="28800" yWindow="500" windowWidth="29040" windowHeight="15840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86" i="1"/>
  <c r="B123" i="1"/>
  <c r="B114" i="1"/>
  <c r="B100" i="1"/>
  <c r="B78" i="1"/>
  <c r="B72" i="1"/>
  <c r="B66" i="1"/>
  <c r="B61" i="1"/>
  <c r="B54" i="1"/>
  <c r="B49" i="1"/>
  <c r="B35" i="1"/>
  <c r="B32" i="1"/>
  <c r="B23" i="1"/>
  <c r="B24" i="1"/>
  <c r="B27" i="1" l="1"/>
  <c r="B36" i="1" s="1"/>
  <c r="B37" i="1" s="1"/>
  <c r="B64" i="1"/>
  <c r="B51" i="1"/>
  <c r="B105" i="1"/>
  <c r="B124" i="1" l="1"/>
  <c r="B125" i="1" s="1"/>
  <c r="B126" i="1" s="1"/>
  <c r="D122" i="1" l="1"/>
  <c r="D121" i="1"/>
  <c r="C121" i="1"/>
  <c r="D120" i="1"/>
  <c r="C120" i="1"/>
  <c r="C119" i="1"/>
  <c r="C118" i="1"/>
  <c r="D117" i="1"/>
  <c r="C117" i="1"/>
  <c r="D116" i="1"/>
  <c r="C116" i="1"/>
  <c r="D113" i="1"/>
  <c r="C113" i="1"/>
  <c r="D112" i="1"/>
  <c r="D111" i="1"/>
  <c r="D110" i="1"/>
  <c r="C110" i="1"/>
  <c r="D109" i="1"/>
  <c r="C109" i="1"/>
  <c r="C108" i="1"/>
  <c r="D107" i="1"/>
  <c r="C107" i="1"/>
  <c r="D104" i="1"/>
  <c r="D103" i="1"/>
  <c r="D102" i="1"/>
  <c r="D101" i="1"/>
  <c r="D99" i="1"/>
  <c r="D100" i="1" s="1"/>
  <c r="C99" i="1"/>
  <c r="C98" i="1"/>
  <c r="D96" i="1"/>
  <c r="C96" i="1"/>
  <c r="D95" i="1"/>
  <c r="C95" i="1"/>
  <c r="D94" i="1"/>
  <c r="D93" i="1"/>
  <c r="C92" i="1"/>
  <c r="C91" i="1"/>
  <c r="C90" i="1"/>
  <c r="D89" i="1"/>
  <c r="C88" i="1"/>
  <c r="D87" i="1"/>
  <c r="D85" i="1"/>
  <c r="C85" i="1"/>
  <c r="D84" i="1"/>
  <c r="D83" i="1"/>
  <c r="D81" i="1"/>
  <c r="C81" i="1"/>
  <c r="D79" i="1"/>
  <c r="C79" i="1"/>
  <c r="D77" i="1"/>
  <c r="C77" i="1"/>
  <c r="D76" i="1"/>
  <c r="D75" i="1"/>
  <c r="C75" i="1"/>
  <c r="D74" i="1"/>
  <c r="C74" i="1"/>
  <c r="D71" i="1"/>
  <c r="C71" i="1"/>
  <c r="D70" i="1"/>
  <c r="C70" i="1"/>
  <c r="D69" i="1"/>
  <c r="C69" i="1"/>
  <c r="D68" i="1"/>
  <c r="C68" i="1"/>
  <c r="D67" i="1"/>
  <c r="D66" i="1"/>
  <c r="C66" i="1"/>
  <c r="D63" i="1"/>
  <c r="C63" i="1"/>
  <c r="D62" i="1"/>
  <c r="C62" i="1"/>
  <c r="C60" i="1"/>
  <c r="C59" i="1"/>
  <c r="C58" i="1"/>
  <c r="D57" i="1"/>
  <c r="D61" i="1" s="1"/>
  <c r="C57" i="1"/>
  <c r="D56" i="1"/>
  <c r="C56" i="1"/>
  <c r="C55" i="1"/>
  <c r="D54" i="1"/>
  <c r="C54" i="1"/>
  <c r="D53" i="1"/>
  <c r="D50" i="1"/>
  <c r="C50" i="1"/>
  <c r="C48" i="1"/>
  <c r="D47" i="1"/>
  <c r="C47" i="1"/>
  <c r="D46" i="1"/>
  <c r="D45" i="1"/>
  <c r="C45" i="1"/>
  <c r="C44" i="1"/>
  <c r="D43" i="1"/>
  <c r="C43" i="1"/>
  <c r="C42" i="1"/>
  <c r="D41" i="1"/>
  <c r="D40" i="1"/>
  <c r="C40" i="1"/>
  <c r="D34" i="1"/>
  <c r="D35" i="1" s="1"/>
  <c r="C34" i="1"/>
  <c r="C35" i="1" s="1"/>
  <c r="D31" i="1"/>
  <c r="D30" i="1"/>
  <c r="C30" i="1"/>
  <c r="D29" i="1"/>
  <c r="C29" i="1"/>
  <c r="D26" i="1"/>
  <c r="C26" i="1"/>
  <c r="C25" i="1"/>
  <c r="D23" i="1"/>
  <c r="C23" i="1"/>
  <c r="D22" i="1"/>
  <c r="C22" i="1"/>
  <c r="C21" i="1"/>
  <c r="D20" i="1"/>
  <c r="D19" i="1"/>
  <c r="D16" i="1"/>
  <c r="D15" i="1"/>
  <c r="C15" i="1"/>
  <c r="D14" i="1"/>
  <c r="C14" i="1"/>
  <c r="C13" i="1"/>
  <c r="C11" i="1"/>
  <c r="D10" i="1"/>
  <c r="C10" i="1"/>
  <c r="D9" i="1"/>
  <c r="C9" i="1"/>
  <c r="D114" i="1" l="1"/>
  <c r="D32" i="1"/>
  <c r="C78" i="1"/>
  <c r="C100" i="1"/>
  <c r="C61" i="1"/>
  <c r="C17" i="1"/>
  <c r="C72" i="1"/>
  <c r="D123" i="1"/>
  <c r="D78" i="1"/>
  <c r="C32" i="1"/>
  <c r="D86" i="1"/>
  <c r="D64" i="1"/>
  <c r="D49" i="1"/>
  <c r="D17" i="1"/>
  <c r="C24" i="1"/>
  <c r="D24" i="1"/>
  <c r="C114" i="1"/>
  <c r="C86" i="1"/>
  <c r="D72" i="1"/>
  <c r="C123" i="1"/>
  <c r="C49" i="1"/>
  <c r="C64" i="1" l="1"/>
  <c r="C51" i="1"/>
  <c r="C105" i="1"/>
  <c r="D105" i="1"/>
  <c r="D27" i="1"/>
  <c r="C27" i="1"/>
  <c r="D51" i="1"/>
  <c r="D36" i="1" l="1"/>
  <c r="C124" i="1"/>
  <c r="D124" i="1"/>
  <c r="C36" i="1"/>
  <c r="C37" i="1" l="1"/>
  <c r="D37" i="1"/>
  <c r="D125" i="1" l="1"/>
  <c r="C125" i="1"/>
  <c r="C126" i="1" l="1"/>
  <c r="D126" i="1"/>
</calcChain>
</file>

<file path=xl/sharedStrings.xml><?xml version="1.0" encoding="utf-8"?>
<sst xmlns="http://schemas.openxmlformats.org/spreadsheetml/2006/main" count="140" uniqueCount="131">
  <si>
    <t>Total</t>
  </si>
  <si>
    <t>Income</t>
  </si>
  <si>
    <t xml:space="preserve">   ANNUAL CONF</t>
  </si>
  <si>
    <t xml:space="preserve">      ADS</t>
  </si>
  <si>
    <t xml:space="preserve">      Exhibitors</t>
  </si>
  <si>
    <t xml:space="preserve">      miscellaneous</t>
  </si>
  <si>
    <t xml:space="preserve">      Preconference Workshop Reg.</t>
  </si>
  <si>
    <t xml:space="preserve">      Registration</t>
  </si>
  <si>
    <t xml:space="preserve">      Silent Auction</t>
  </si>
  <si>
    <t xml:space="preserve">      Underwriting</t>
  </si>
  <si>
    <t xml:space="preserve">   Total ANNUAL CONF</t>
  </si>
  <si>
    <t xml:space="preserve">   GENERAL</t>
  </si>
  <si>
    <t xml:space="preserve">      Bank Interest</t>
  </si>
  <si>
    <t xml:space="preserve">      General Foundation Support</t>
  </si>
  <si>
    <t xml:space="preserve">      Grant Income</t>
  </si>
  <si>
    <t xml:space="preserve">      Member Dues</t>
  </si>
  <si>
    <t xml:space="preserve">         State Dues</t>
  </si>
  <si>
    <t xml:space="preserve">      Total Member Dues</t>
  </si>
  <si>
    <t xml:space="preserve">      Miscellaneous</t>
  </si>
  <si>
    <t xml:space="preserve">      Prof Development Reg Fees</t>
  </si>
  <si>
    <t xml:space="preserve">   Total GENERAL</t>
  </si>
  <si>
    <t xml:space="preserve">   NATL TRIO DAY</t>
  </si>
  <si>
    <t xml:space="preserve">      College Reg.</t>
  </si>
  <si>
    <t xml:space="preserve">      Student Reg.</t>
  </si>
  <si>
    <t xml:space="preserve">   Total NATL TRIO DAY</t>
  </si>
  <si>
    <t xml:space="preserve">   THE LEADERSHIP INSTITUTE</t>
  </si>
  <si>
    <t xml:space="preserve">      Participant Tuition</t>
  </si>
  <si>
    <t xml:space="preserve">   Total THE LEADERSHIP INSTITUTE</t>
  </si>
  <si>
    <t>Total Income</t>
  </si>
  <si>
    <t>Gross Profit</t>
  </si>
  <si>
    <t>Expenses</t>
  </si>
  <si>
    <t xml:space="preserve">   ANNUAL CONFER</t>
  </si>
  <si>
    <t xml:space="preserve">      committee expense</t>
  </si>
  <si>
    <t xml:space="preserve">      Entertainment</t>
  </si>
  <si>
    <t xml:space="preserve">      Fundraising</t>
  </si>
  <si>
    <t xml:space="preserve">      Hotel Cost</t>
  </si>
  <si>
    <t xml:space="preserve">      Printing</t>
  </si>
  <si>
    <t xml:space="preserve">      Refunds</t>
  </si>
  <si>
    <t xml:space="preserve">      Speaker Expenses</t>
  </si>
  <si>
    <t xml:space="preserve">         Preconference Speaker Fees</t>
  </si>
  <si>
    <t xml:space="preserve">      Total Speaker Expenses</t>
  </si>
  <si>
    <t xml:space="preserve">      Supplies &amp; Misc</t>
  </si>
  <si>
    <t xml:space="preserve">   Total ANNUAL CONFER</t>
  </si>
  <si>
    <t xml:space="preserve">   Council for Opp. in Ed.</t>
  </si>
  <si>
    <t xml:space="preserve">      Advertising</t>
  </si>
  <si>
    <t xml:space="preserve">      Dues</t>
  </si>
  <si>
    <t xml:space="preserve">      Fair Share Contribution</t>
  </si>
  <si>
    <t xml:space="preserve">      Gift Basket</t>
  </si>
  <si>
    <t xml:space="preserve">      Officer Travel</t>
  </si>
  <si>
    <t xml:space="preserve">         Food</t>
  </si>
  <si>
    <t xml:space="preserve">         Lodging</t>
  </si>
  <si>
    <t xml:space="preserve">         Other</t>
  </si>
  <si>
    <t xml:space="preserve">      Total Officer Travel</t>
  </si>
  <si>
    <t xml:space="preserve">      Policy Seminar</t>
  </si>
  <si>
    <t xml:space="preserve">      Policy Seminar Dinner</t>
  </si>
  <si>
    <t xml:space="preserve">   Total Council for Opp. in Ed.</t>
  </si>
  <si>
    <t xml:space="preserve">   GEN EXPENSES</t>
  </si>
  <si>
    <t xml:space="preserve">      Affil. Mbshps.</t>
  </si>
  <si>
    <t xml:space="preserve">      Association Awards</t>
  </si>
  <si>
    <t xml:space="preserve">      Audit, Tax Prep</t>
  </si>
  <si>
    <t xml:space="preserve">      Bank fees</t>
  </si>
  <si>
    <t xml:space="preserve">         Paypal Fees</t>
  </si>
  <si>
    <t xml:space="preserve">         square service fee</t>
  </si>
  <si>
    <t xml:space="preserve">      Total Bank fees</t>
  </si>
  <si>
    <t xml:space="preserve">      Board Meetings</t>
  </si>
  <si>
    <t xml:space="preserve">         Lodging/Hotel</t>
  </si>
  <si>
    <t xml:space="preserve">         Travel -  Board Mileage</t>
  </si>
  <si>
    <t xml:space="preserve">      Total Board Meetings</t>
  </si>
  <si>
    <t xml:space="preserve">      Bonding &amp; Insurance</t>
  </si>
  <si>
    <t xml:space="preserve">      Committee Expense</t>
  </si>
  <si>
    <t xml:space="preserve">         COE Executive Leadership Institute</t>
  </si>
  <si>
    <t xml:space="preserve">         Development Committee</t>
  </si>
  <si>
    <t xml:space="preserve">         Jerry Ellis Professional Development Scholarship</t>
  </si>
  <si>
    <t xml:space="preserve">         State Initiatives Committee</t>
  </si>
  <si>
    <t xml:space="preserve">      Total Committee Expense</t>
  </si>
  <si>
    <t xml:space="preserve">      Member Prof Development Reg Refund</t>
  </si>
  <si>
    <t xml:space="preserve">      Member Professional Development</t>
  </si>
  <si>
    <t xml:space="preserve">      Membership Comte</t>
  </si>
  <si>
    <t xml:space="preserve">      Membership Refunds</t>
  </si>
  <si>
    <t xml:space="preserve">      NEOA Achiever</t>
  </si>
  <si>
    <t xml:space="preserve">      NEOA Achiever Expenses</t>
  </si>
  <si>
    <t xml:space="preserve">      President Account</t>
  </si>
  <si>
    <t xml:space="preserve">      President-Elect</t>
  </si>
  <si>
    <t xml:space="preserve">      QuickBooks Online Subscription</t>
  </si>
  <si>
    <t xml:space="preserve">      Technology</t>
  </si>
  <si>
    <t xml:space="preserve">         Equipment</t>
  </si>
  <si>
    <t xml:space="preserve">         Virtual Resources</t>
  </si>
  <si>
    <t xml:space="preserve">      Total Technology</t>
  </si>
  <si>
    <t xml:space="preserve">      Treasurer</t>
  </si>
  <si>
    <t xml:space="preserve">      TRIO Alumni Society</t>
  </si>
  <si>
    <t xml:space="preserve">      Vice President</t>
  </si>
  <si>
    <t xml:space="preserve">      website operational costs</t>
  </si>
  <si>
    <t xml:space="preserve">   Total GEN EXPENSES</t>
  </si>
  <si>
    <t xml:space="preserve">   NAT'L TRIO DAY</t>
  </si>
  <si>
    <t xml:space="preserve">      Food</t>
  </si>
  <si>
    <t xml:space="preserve">      Hotel</t>
  </si>
  <si>
    <t xml:space="preserve">      Next Year Hotel Deposit</t>
  </si>
  <si>
    <t xml:space="preserve">      Speaker Expense</t>
  </si>
  <si>
    <t xml:space="preserve">      Transportation</t>
  </si>
  <si>
    <t xml:space="preserve">   Total NAT'L TRIO DAY</t>
  </si>
  <si>
    <t xml:space="preserve">   THE LEADERSHIP INST.</t>
  </si>
  <si>
    <t xml:space="preserve">      Director Contract</t>
  </si>
  <si>
    <t xml:space="preserve">      Institute Lodging/Facilities</t>
  </si>
  <si>
    <t xml:space="preserve">      Operating Expenses</t>
  </si>
  <si>
    <t xml:space="preserve">      Supplies</t>
  </si>
  <si>
    <t xml:space="preserve">      Travel</t>
  </si>
  <si>
    <t xml:space="preserve">   Total THE LEADERSHIP INST.</t>
  </si>
  <si>
    <t>Total Expenses</t>
  </si>
  <si>
    <t>Net Operating Income</t>
  </si>
  <si>
    <t>Net Income</t>
  </si>
  <si>
    <t>NEOA</t>
  </si>
  <si>
    <t xml:space="preserve">PROPOSED NEOA Budget September 1, 2023 - August 31, 2024 - FY24 P&amp;L </t>
  </si>
  <si>
    <t>September 2023 - August 2024</t>
  </si>
  <si>
    <t>Actual FY2023</t>
  </si>
  <si>
    <t>Budget FY2023</t>
  </si>
  <si>
    <t>Budget FY2024</t>
  </si>
  <si>
    <t>Notes</t>
  </si>
  <si>
    <t>8 at $1,500</t>
  </si>
  <si>
    <t xml:space="preserve">      Fair share donations</t>
  </si>
  <si>
    <t>Adding budget line</t>
  </si>
  <si>
    <t>50 people x $75</t>
  </si>
  <si>
    <t>Fair share income at 2023 conference</t>
  </si>
  <si>
    <t>265 attendees at avg. $420</t>
  </si>
  <si>
    <t>Spraggins grant $500 x 4</t>
  </si>
  <si>
    <t>FY2023 was tax refund</t>
  </si>
  <si>
    <t>~10% increase from 2023</t>
  </si>
  <si>
    <t>$1,700 online auction, $2,300 in person auction</t>
  </si>
  <si>
    <t>Silent auction income minus fees</t>
  </si>
  <si>
    <t>DEI Committee</t>
  </si>
  <si>
    <t>Zoom $300, GoDaddy $144, Listserve $216, website $90, buffer for extra Zoom licenses</t>
  </si>
  <si>
    <t>280 members at $70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</si>
</sst>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3" borderId="0" xfId="0" applyFont="1" applyFill="1" applyAlignment="1">
      <alignment horizontal="left" wrapText="1"/>
    </xf>
    <xf numFmtId="0" fontId="5" fillId="0" borderId="0" xfId="0" applyFont="1"/>
    <xf numFmtId="164" fontId="5" fillId="0" borderId="0" xfId="0" applyNumberFormat="1" applyFont="1" applyAlignment="1">
      <alignment wrapText="1"/>
    </xf>
    <xf numFmtId="0" fontId="3" fillId="4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165" fontId="3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 wrapText="1" indent="2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15" fontId="4" fillId="0" borderId="0" xfId="0" applyNumberFormat="1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0"/>
  <sheetViews>
    <sheetView tabSelected="1" workbookViewId="0">
      <pane ySplit="6" topLeftCell="A7" activePane="bottomLeft" state="frozen"/>
      <selection pane="bottomLeft" activeCell="E22" sqref="E22"/>
    </sheetView>
  </sheetViews>
  <sheetFormatPr baseColWidth="10" defaultColWidth="8.83203125" defaultRowHeight="15" x14ac:dyDescent="0.2"/>
  <cols>
    <col min="1" max="1" width="38.33203125" customWidth="1"/>
    <col min="2" max="4" width="19.5" customWidth="1"/>
    <col min="5" max="5" width="77.6640625" style="16" customWidth="1"/>
  </cols>
  <sheetData>
    <row r="1" spans="1:5" ht="19" x14ac:dyDescent="0.25">
      <c r="A1" s="23" t="s">
        <v>110</v>
      </c>
      <c r="B1" s="22"/>
      <c r="C1" s="22"/>
      <c r="D1" s="22"/>
    </row>
    <row r="2" spans="1:5" ht="19" x14ac:dyDescent="0.25">
      <c r="A2" s="23" t="s">
        <v>111</v>
      </c>
      <c r="B2" s="22"/>
      <c r="C2" s="22"/>
      <c r="D2" s="22"/>
    </row>
    <row r="3" spans="1:5" x14ac:dyDescent="0.2">
      <c r="A3" s="24" t="s">
        <v>112</v>
      </c>
      <c r="B3" s="22"/>
      <c r="C3" s="22"/>
      <c r="D3" s="22"/>
    </row>
    <row r="5" spans="1:5" x14ac:dyDescent="0.2">
      <c r="A5" s="1"/>
      <c r="B5" s="18" t="s">
        <v>0</v>
      </c>
      <c r="C5" s="19"/>
      <c r="D5" s="20"/>
      <c r="E5" s="15" t="s">
        <v>116</v>
      </c>
    </row>
    <row r="6" spans="1:5" x14ac:dyDescent="0.2">
      <c r="A6" s="4"/>
      <c r="B6" s="3" t="s">
        <v>115</v>
      </c>
      <c r="C6" s="2" t="s">
        <v>113</v>
      </c>
      <c r="D6" s="2" t="s">
        <v>114</v>
      </c>
    </row>
    <row r="7" spans="1:5" x14ac:dyDescent="0.2">
      <c r="A7" s="5" t="s">
        <v>1</v>
      </c>
      <c r="B7" s="7"/>
      <c r="C7" s="7"/>
      <c r="D7" s="7"/>
    </row>
    <row r="8" spans="1:5" x14ac:dyDescent="0.2">
      <c r="A8" s="8" t="s">
        <v>2</v>
      </c>
      <c r="B8" s="7"/>
      <c r="C8" s="7"/>
      <c r="D8" s="7"/>
    </row>
    <row r="9" spans="1:5" x14ac:dyDescent="0.2">
      <c r="A9" s="9" t="s">
        <v>3</v>
      </c>
      <c r="B9" s="10">
        <v>2000</v>
      </c>
      <c r="C9" s="10">
        <f>1600</f>
        <v>1600</v>
      </c>
      <c r="D9" s="10">
        <f>2500</f>
        <v>2500</v>
      </c>
    </row>
    <row r="10" spans="1:5" x14ac:dyDescent="0.2">
      <c r="A10" s="9" t="s">
        <v>4</v>
      </c>
      <c r="B10" s="10">
        <v>12000</v>
      </c>
      <c r="C10" s="10">
        <f>13000</f>
        <v>13000</v>
      </c>
      <c r="D10" s="10">
        <f>8500</f>
        <v>8500</v>
      </c>
      <c r="E10" s="16" t="s">
        <v>117</v>
      </c>
    </row>
    <row r="11" spans="1:5" x14ac:dyDescent="0.2">
      <c r="A11" s="9" t="s">
        <v>5</v>
      </c>
      <c r="B11" s="10">
        <v>200</v>
      </c>
      <c r="C11" s="10">
        <f>1100</f>
        <v>1100</v>
      </c>
      <c r="D11" s="7"/>
      <c r="E11" s="16" t="s">
        <v>121</v>
      </c>
    </row>
    <row r="12" spans="1:5" x14ac:dyDescent="0.2">
      <c r="A12" s="9" t="s">
        <v>118</v>
      </c>
      <c r="B12" s="10">
        <v>1000</v>
      </c>
      <c r="C12" s="10"/>
      <c r="D12" s="7"/>
      <c r="E12" s="16" t="s">
        <v>119</v>
      </c>
    </row>
    <row r="13" spans="1:5" x14ac:dyDescent="0.2">
      <c r="A13" s="9" t="s">
        <v>6</v>
      </c>
      <c r="B13" s="10">
        <v>3750</v>
      </c>
      <c r="C13" s="10">
        <f>3010</f>
        <v>3010</v>
      </c>
      <c r="D13" s="7"/>
      <c r="E13" s="16" t="s">
        <v>120</v>
      </c>
    </row>
    <row r="14" spans="1:5" x14ac:dyDescent="0.2">
      <c r="A14" s="9" t="s">
        <v>7</v>
      </c>
      <c r="B14" s="10">
        <v>111300</v>
      </c>
      <c r="C14" s="10">
        <f>108342</f>
        <v>108342</v>
      </c>
      <c r="D14" s="10">
        <f>93750</f>
        <v>93750</v>
      </c>
      <c r="E14" s="16" t="s">
        <v>122</v>
      </c>
    </row>
    <row r="15" spans="1:5" x14ac:dyDescent="0.2">
      <c r="A15" s="9" t="s">
        <v>8</v>
      </c>
      <c r="B15" s="10">
        <v>4000</v>
      </c>
      <c r="C15" s="10">
        <f>3252.13</f>
        <v>3252.13</v>
      </c>
      <c r="D15" s="10">
        <f>3000</f>
        <v>3000</v>
      </c>
      <c r="E15" s="16" t="s">
        <v>126</v>
      </c>
    </row>
    <row r="16" spans="1:5" x14ac:dyDescent="0.2">
      <c r="A16" s="9" t="s">
        <v>9</v>
      </c>
      <c r="B16" s="7">
        <v>0</v>
      </c>
      <c r="C16" s="7"/>
      <c r="D16" s="10">
        <f>2000</f>
        <v>2000</v>
      </c>
    </row>
    <row r="17" spans="1:5" x14ac:dyDescent="0.2">
      <c r="A17" s="9" t="s">
        <v>10</v>
      </c>
      <c r="B17" s="11">
        <f>(((((((B8)+(B9))+(B10))+(B11))+B12+(B13))+(B14))+(B15))+(B16)</f>
        <v>134250</v>
      </c>
      <c r="C17" s="11">
        <f>(((((((C8)+(C9))+(C10))+(C11))+(C13))+(C14))+(C15))+(C16)</f>
        <v>130304.13</v>
      </c>
      <c r="D17" s="11">
        <f>(((((((D8)+(D9))+(D10))+(D11))+(D13))+(D14))+(D15))+(D16)</f>
        <v>109750</v>
      </c>
    </row>
    <row r="18" spans="1:5" x14ac:dyDescent="0.2">
      <c r="A18" s="8" t="s">
        <v>11</v>
      </c>
      <c r="B18" s="7"/>
      <c r="C18" s="7"/>
      <c r="D18" s="7"/>
    </row>
    <row r="19" spans="1:5" x14ac:dyDescent="0.2">
      <c r="A19" s="9" t="s">
        <v>12</v>
      </c>
      <c r="B19" s="7">
        <v>0</v>
      </c>
      <c r="C19" s="7"/>
      <c r="D19" s="10">
        <f>50</f>
        <v>50</v>
      </c>
    </row>
    <row r="20" spans="1:5" x14ac:dyDescent="0.2">
      <c r="A20" s="9" t="s">
        <v>13</v>
      </c>
      <c r="B20" s="7">
        <v>0</v>
      </c>
      <c r="C20" s="7"/>
      <c r="D20" s="10">
        <f>3000</f>
        <v>3000</v>
      </c>
    </row>
    <row r="21" spans="1:5" x14ac:dyDescent="0.2">
      <c r="A21" s="9" t="s">
        <v>14</v>
      </c>
      <c r="B21" s="10">
        <v>2000</v>
      </c>
      <c r="C21" s="10">
        <f>1000</f>
        <v>1000</v>
      </c>
      <c r="D21" s="7"/>
      <c r="E21" s="16" t="s">
        <v>123</v>
      </c>
    </row>
    <row r="22" spans="1:5" x14ac:dyDescent="0.2">
      <c r="A22" s="9" t="s">
        <v>15</v>
      </c>
      <c r="B22" s="10">
        <v>19600</v>
      </c>
      <c r="C22" s="10">
        <f>16605</f>
        <v>16605</v>
      </c>
      <c r="D22" s="10">
        <f>15000</f>
        <v>15000</v>
      </c>
      <c r="E22" s="16" t="s">
        <v>130</v>
      </c>
    </row>
    <row r="23" spans="1:5" x14ac:dyDescent="0.2">
      <c r="A23" s="9" t="s">
        <v>16</v>
      </c>
      <c r="B23" s="10">
        <f>1500</f>
        <v>1500</v>
      </c>
      <c r="C23" s="10">
        <f>1500</f>
        <v>1500</v>
      </c>
      <c r="D23" s="10">
        <f>1800</f>
        <v>1800</v>
      </c>
    </row>
    <row r="24" spans="1:5" x14ac:dyDescent="0.2">
      <c r="A24" s="9" t="s">
        <v>17</v>
      </c>
      <c r="B24" s="11">
        <f>(B22)+(B23)</f>
        <v>21100</v>
      </c>
      <c r="C24" s="11">
        <f>(C22)+(C23)</f>
        <v>18105</v>
      </c>
      <c r="D24" s="11">
        <f>(D22)+(D23)</f>
        <v>16800</v>
      </c>
    </row>
    <row r="25" spans="1:5" x14ac:dyDescent="0.2">
      <c r="A25" s="9" t="s">
        <v>18</v>
      </c>
      <c r="B25" s="10">
        <v>0</v>
      </c>
      <c r="C25" s="10">
        <f>4171.92</f>
        <v>4171.92</v>
      </c>
      <c r="D25" s="7"/>
      <c r="E25" s="16" t="s">
        <v>124</v>
      </c>
    </row>
    <row r="26" spans="1:5" x14ac:dyDescent="0.2">
      <c r="A26" s="9" t="s">
        <v>19</v>
      </c>
      <c r="B26" s="10">
        <v>1500</v>
      </c>
      <c r="C26" s="10">
        <f>700</f>
        <v>700</v>
      </c>
      <c r="D26" s="10">
        <f>2000</f>
        <v>2000</v>
      </c>
    </row>
    <row r="27" spans="1:5" x14ac:dyDescent="0.2">
      <c r="A27" s="9" t="s">
        <v>20</v>
      </c>
      <c r="B27" s="11">
        <f>((((((B18)+(B19))+(B20))+(B21))+(B24))+(B25))+(B26)</f>
        <v>24600</v>
      </c>
      <c r="C27" s="11">
        <f>((((((C18)+(C19))+(C20))+(C21))+(C24))+(C25))+(C26)</f>
        <v>23976.92</v>
      </c>
      <c r="D27" s="11">
        <f>((((((D18)+(D19))+(D20))+(D21))+(D24))+(D25))+(D26)</f>
        <v>21850</v>
      </c>
    </row>
    <row r="28" spans="1:5" x14ac:dyDescent="0.2">
      <c r="A28" s="8" t="s">
        <v>21</v>
      </c>
      <c r="B28" s="7"/>
      <c r="C28" s="7"/>
      <c r="D28" s="7"/>
    </row>
    <row r="29" spans="1:5" x14ac:dyDescent="0.2">
      <c r="A29" s="9" t="s">
        <v>22</v>
      </c>
      <c r="B29" s="10">
        <v>6000</v>
      </c>
      <c r="C29" s="10">
        <f>5970</f>
        <v>5970</v>
      </c>
      <c r="D29" s="10">
        <f>6000</f>
        <v>6000</v>
      </c>
    </row>
    <row r="30" spans="1:5" x14ac:dyDescent="0.2">
      <c r="A30" s="9" t="s">
        <v>23</v>
      </c>
      <c r="B30" s="10">
        <v>43000</v>
      </c>
      <c r="C30" s="10">
        <f>38975</f>
        <v>38975</v>
      </c>
      <c r="D30" s="10">
        <f>45000</f>
        <v>45000</v>
      </c>
      <c r="E30" s="16" t="s">
        <v>125</v>
      </c>
    </row>
    <row r="31" spans="1:5" x14ac:dyDescent="0.2">
      <c r="A31" s="9" t="s">
        <v>9</v>
      </c>
      <c r="B31" s="7">
        <v>0</v>
      </c>
      <c r="C31" s="7"/>
      <c r="D31" s="10">
        <f>2000</f>
        <v>2000</v>
      </c>
    </row>
    <row r="32" spans="1:5" x14ac:dyDescent="0.2">
      <c r="A32" s="9" t="s">
        <v>24</v>
      </c>
      <c r="B32" s="11">
        <f>(((B28)+(B29))+(B30))+(B31)</f>
        <v>49000</v>
      </c>
      <c r="C32" s="11">
        <f>(((C28)+(C29))+(C30))+(C31)</f>
        <v>44945</v>
      </c>
      <c r="D32" s="11">
        <f>(((D28)+(D29))+(D30))+(D31)</f>
        <v>53000</v>
      </c>
    </row>
    <row r="33" spans="1:4" x14ac:dyDescent="0.2">
      <c r="A33" s="8" t="s">
        <v>25</v>
      </c>
      <c r="B33" s="7"/>
      <c r="C33" s="7"/>
      <c r="D33" s="7"/>
    </row>
    <row r="34" spans="1:4" x14ac:dyDescent="0.2">
      <c r="A34" s="9" t="s">
        <v>26</v>
      </c>
      <c r="B34" s="10">
        <v>0</v>
      </c>
      <c r="C34" s="10">
        <f>8250</f>
        <v>8250</v>
      </c>
      <c r="D34" s="10">
        <f>9750</f>
        <v>9750</v>
      </c>
    </row>
    <row r="35" spans="1:4" x14ac:dyDescent="0.2">
      <c r="A35" s="9" t="s">
        <v>27</v>
      </c>
      <c r="B35" s="11">
        <f>(B33)+(B34)</f>
        <v>0</v>
      </c>
      <c r="C35" s="11">
        <f>(C33)+(C34)</f>
        <v>8250</v>
      </c>
      <c r="D35" s="11">
        <f>(D33)+(D34)</f>
        <v>9750</v>
      </c>
    </row>
    <row r="36" spans="1:4" x14ac:dyDescent="0.2">
      <c r="A36" s="9" t="s">
        <v>28</v>
      </c>
      <c r="B36" s="11">
        <f>(((B17)+(B27))+(B32))+(B35)</f>
        <v>207850</v>
      </c>
      <c r="C36" s="11">
        <f>(((C17)+(C27))+(C32))+(C35)</f>
        <v>207476.05</v>
      </c>
      <c r="D36" s="11">
        <f>(((D17)+(D27))+(D32))+(D35)</f>
        <v>194350</v>
      </c>
    </row>
    <row r="37" spans="1:4" x14ac:dyDescent="0.2">
      <c r="A37" s="9" t="s">
        <v>29</v>
      </c>
      <c r="B37" s="11">
        <f>(B36)-(0)</f>
        <v>207850</v>
      </c>
      <c r="C37" s="11">
        <f>(C36)-(0)</f>
        <v>207476.05</v>
      </c>
      <c r="D37" s="11">
        <f>(D36)-(0)</f>
        <v>194350</v>
      </c>
    </row>
    <row r="38" spans="1:4" x14ac:dyDescent="0.2">
      <c r="A38" s="12" t="s">
        <v>30</v>
      </c>
      <c r="B38" s="7"/>
      <c r="C38" s="7"/>
      <c r="D38" s="7"/>
    </row>
    <row r="39" spans="1:4" x14ac:dyDescent="0.2">
      <c r="A39" s="8" t="s">
        <v>31</v>
      </c>
      <c r="B39" s="7"/>
      <c r="C39" s="7"/>
      <c r="D39" s="7"/>
    </row>
    <row r="40" spans="1:4" x14ac:dyDescent="0.2">
      <c r="A40" s="9" t="s">
        <v>32</v>
      </c>
      <c r="B40" s="10">
        <v>650</v>
      </c>
      <c r="C40" s="10">
        <f>604.64</f>
        <v>604.64</v>
      </c>
      <c r="D40" s="10">
        <f>750</f>
        <v>750</v>
      </c>
    </row>
    <row r="41" spans="1:4" x14ac:dyDescent="0.2">
      <c r="A41" s="9" t="s">
        <v>33</v>
      </c>
      <c r="B41" s="7">
        <v>500</v>
      </c>
      <c r="C41" s="7"/>
      <c r="D41" s="10">
        <f>500</f>
        <v>500</v>
      </c>
    </row>
    <row r="42" spans="1:4" x14ac:dyDescent="0.2">
      <c r="A42" s="9" t="s">
        <v>34</v>
      </c>
      <c r="B42" s="10">
        <v>1000</v>
      </c>
      <c r="C42" s="10">
        <f>58.44</f>
        <v>58.44</v>
      </c>
      <c r="D42" s="7"/>
    </row>
    <row r="43" spans="1:4" x14ac:dyDescent="0.2">
      <c r="A43" s="9" t="s">
        <v>35</v>
      </c>
      <c r="B43" s="10">
        <v>45000</v>
      </c>
      <c r="C43" s="10">
        <f>57096.3</f>
        <v>57096.3</v>
      </c>
      <c r="D43" s="10">
        <f>45600</f>
        <v>45600</v>
      </c>
    </row>
    <row r="44" spans="1:4" x14ac:dyDescent="0.2">
      <c r="A44" s="9" t="s">
        <v>18</v>
      </c>
      <c r="B44" s="10">
        <v>150</v>
      </c>
      <c r="C44" s="10">
        <f>137.15</f>
        <v>137.15</v>
      </c>
      <c r="D44" s="7"/>
    </row>
    <row r="45" spans="1:4" x14ac:dyDescent="0.2">
      <c r="A45" s="9" t="s">
        <v>36</v>
      </c>
      <c r="B45" s="10">
        <v>350</v>
      </c>
      <c r="C45" s="10">
        <f>324.29</f>
        <v>324.29000000000002</v>
      </c>
      <c r="D45" s="10">
        <f>600</f>
        <v>600</v>
      </c>
    </row>
    <row r="46" spans="1:4" x14ac:dyDescent="0.2">
      <c r="A46" s="9" t="s">
        <v>37</v>
      </c>
      <c r="B46" s="7">
        <v>500</v>
      </c>
      <c r="C46" s="7"/>
      <c r="D46" s="10">
        <f>500</f>
        <v>500</v>
      </c>
    </row>
    <row r="47" spans="1:4" x14ac:dyDescent="0.2">
      <c r="A47" s="9" t="s">
        <v>38</v>
      </c>
      <c r="B47" s="10">
        <v>4000</v>
      </c>
      <c r="C47" s="10">
        <f>4000</f>
        <v>4000</v>
      </c>
      <c r="D47" s="10">
        <f>1500</f>
        <v>1500</v>
      </c>
    </row>
    <row r="48" spans="1:4" x14ac:dyDescent="0.2">
      <c r="A48" s="9" t="s">
        <v>39</v>
      </c>
      <c r="B48" s="10">
        <v>500</v>
      </c>
      <c r="C48" s="10">
        <f>723.72</f>
        <v>723.72</v>
      </c>
      <c r="D48" s="7"/>
    </row>
    <row r="49" spans="1:4" x14ac:dyDescent="0.2">
      <c r="A49" s="9" t="s">
        <v>40</v>
      </c>
      <c r="B49" s="11">
        <f>(B47)+(B48)</f>
        <v>4500</v>
      </c>
      <c r="C49" s="11">
        <f>(C47)+(C48)</f>
        <v>4723.72</v>
      </c>
      <c r="D49" s="11">
        <f>(D47)+(D48)</f>
        <v>1500</v>
      </c>
    </row>
    <row r="50" spans="1:4" x14ac:dyDescent="0.2">
      <c r="A50" s="9" t="s">
        <v>41</v>
      </c>
      <c r="B50" s="10">
        <v>1500</v>
      </c>
      <c r="C50" s="10">
        <f>1864.81</f>
        <v>1864.81</v>
      </c>
      <c r="D50" s="10">
        <f>500</f>
        <v>500</v>
      </c>
    </row>
    <row r="51" spans="1:4" x14ac:dyDescent="0.2">
      <c r="A51" s="9" t="s">
        <v>42</v>
      </c>
      <c r="B51" s="11">
        <f>(((((((((B39)+(B40))+(B41))+(B42))+(B43))+(B44))+(B45))+(B46))+(B49))+(B50)</f>
        <v>54150</v>
      </c>
      <c r="C51" s="11">
        <f>(((((((((C39)+(C40))+(C41))+(C42))+(C43))+(C44))+(C45))+(C46))+(C49))+(C50)</f>
        <v>64809.350000000006</v>
      </c>
      <c r="D51" s="11">
        <f>(((((((((D39)+(D40))+(D41))+(D42))+(D43))+(D44))+(D45))+(D46))+(D49))+(D50)</f>
        <v>49950</v>
      </c>
    </row>
    <row r="52" spans="1:4" x14ac:dyDescent="0.2">
      <c r="A52" s="8" t="s">
        <v>43</v>
      </c>
      <c r="B52" s="7"/>
      <c r="C52" s="7"/>
      <c r="D52" s="7"/>
    </row>
    <row r="53" spans="1:4" x14ac:dyDescent="0.2">
      <c r="A53" s="9" t="s">
        <v>44</v>
      </c>
      <c r="B53" s="7">
        <v>500</v>
      </c>
      <c r="C53" s="7">
        <v>500</v>
      </c>
      <c r="D53" s="10">
        <f>500</f>
        <v>500</v>
      </c>
    </row>
    <row r="54" spans="1:4" x14ac:dyDescent="0.2">
      <c r="A54" s="9" t="s">
        <v>45</v>
      </c>
      <c r="B54" s="10">
        <f>4000</f>
        <v>4000</v>
      </c>
      <c r="C54" s="10">
        <f>4000</f>
        <v>4000</v>
      </c>
      <c r="D54" s="10">
        <f>4000</f>
        <v>4000</v>
      </c>
    </row>
    <row r="55" spans="1:4" x14ac:dyDescent="0.2">
      <c r="A55" s="9" t="s">
        <v>46</v>
      </c>
      <c r="B55" s="10">
        <v>800</v>
      </c>
      <c r="C55" s="10">
        <f>770</f>
        <v>770</v>
      </c>
      <c r="D55" s="7"/>
    </row>
    <row r="56" spans="1:4" x14ac:dyDescent="0.2">
      <c r="A56" s="9" t="s">
        <v>47</v>
      </c>
      <c r="B56" s="10">
        <v>250</v>
      </c>
      <c r="C56" s="10">
        <f>230</f>
        <v>230</v>
      </c>
      <c r="D56" s="10">
        <f>250</f>
        <v>250</v>
      </c>
    </row>
    <row r="57" spans="1:4" x14ac:dyDescent="0.2">
      <c r="A57" s="9" t="s">
        <v>48</v>
      </c>
      <c r="B57" s="10"/>
      <c r="C57" s="10">
        <f>561.45</f>
        <v>561.45000000000005</v>
      </c>
      <c r="D57" s="10">
        <f>8000</f>
        <v>8000</v>
      </c>
    </row>
    <row r="58" spans="1:4" x14ac:dyDescent="0.2">
      <c r="A58" s="9" t="s">
        <v>49</v>
      </c>
      <c r="B58" s="10">
        <v>1000</v>
      </c>
      <c r="C58" s="10">
        <f>747.38</f>
        <v>747.38</v>
      </c>
      <c r="D58" s="7"/>
    </row>
    <row r="59" spans="1:4" x14ac:dyDescent="0.2">
      <c r="A59" s="9" t="s">
        <v>50</v>
      </c>
      <c r="B59" s="10">
        <v>12000</v>
      </c>
      <c r="C59" s="10">
        <f>10624.19</f>
        <v>10624.19</v>
      </c>
      <c r="D59" s="7"/>
    </row>
    <row r="60" spans="1:4" x14ac:dyDescent="0.2">
      <c r="A60" s="9" t="s">
        <v>51</v>
      </c>
      <c r="B60" s="10">
        <v>2000</v>
      </c>
      <c r="C60" s="10">
        <f>1412.94</f>
        <v>1412.94</v>
      </c>
      <c r="D60" s="7"/>
    </row>
    <row r="61" spans="1:4" x14ac:dyDescent="0.2">
      <c r="A61" s="9" t="s">
        <v>52</v>
      </c>
      <c r="B61" s="11">
        <f>(((B57)+(B58))+(B59))+(B60)</f>
        <v>15000</v>
      </c>
      <c r="C61" s="11">
        <f>(((C57)+(C58))+(C59))+(C60)</f>
        <v>13345.960000000001</v>
      </c>
      <c r="D61" s="11">
        <f>(((D57)+(D58))+(D59))+(D60)</f>
        <v>8000</v>
      </c>
    </row>
    <row r="62" spans="1:4" x14ac:dyDescent="0.2">
      <c r="A62" s="9" t="s">
        <v>53</v>
      </c>
      <c r="B62" s="10">
        <v>24000</v>
      </c>
      <c r="C62" s="10">
        <f>14788.7</f>
        <v>14788.7</v>
      </c>
      <c r="D62" s="10">
        <f>24000</f>
        <v>24000</v>
      </c>
    </row>
    <row r="63" spans="1:4" x14ac:dyDescent="0.2">
      <c r="A63" s="9" t="s">
        <v>54</v>
      </c>
      <c r="B63" s="10">
        <v>2700</v>
      </c>
      <c r="C63" s="10">
        <f>3312.2</f>
        <v>3312.2</v>
      </c>
      <c r="D63" s="10">
        <f>2000</f>
        <v>2000</v>
      </c>
    </row>
    <row r="64" spans="1:4" x14ac:dyDescent="0.2">
      <c r="A64" s="9" t="s">
        <v>55</v>
      </c>
      <c r="B64" s="11">
        <f>(((((((B52)+(B53))+(B54))+(B55))+(B56))+(B61))+(B62))+(B63)</f>
        <v>47250</v>
      </c>
      <c r="C64" s="11">
        <f>(((((((C52)+(C53))+(C54))+(C55))+(C56))+(C61))+(C62))+(C63)</f>
        <v>36946.86</v>
      </c>
      <c r="D64" s="11">
        <f>(((((((D52)+(D53))+(D54))+(D55))+(D56))+(D61))+(D62))+(D63)</f>
        <v>38750</v>
      </c>
    </row>
    <row r="65" spans="1:4" x14ac:dyDescent="0.2">
      <c r="A65" s="8" t="s">
        <v>56</v>
      </c>
      <c r="B65" s="7"/>
      <c r="C65" s="7"/>
      <c r="D65" s="7"/>
    </row>
    <row r="66" spans="1:4" x14ac:dyDescent="0.2">
      <c r="A66" s="9" t="s">
        <v>57</v>
      </c>
      <c r="B66" s="10">
        <f>500</f>
        <v>500</v>
      </c>
      <c r="C66" s="10">
        <f>500</f>
        <v>500</v>
      </c>
      <c r="D66" s="10">
        <f>500</f>
        <v>500</v>
      </c>
    </row>
    <row r="67" spans="1:4" x14ac:dyDescent="0.2">
      <c r="A67" s="9" t="s">
        <v>58</v>
      </c>
      <c r="B67" s="7"/>
      <c r="C67" s="7"/>
      <c r="D67" s="10">
        <f>600</f>
        <v>600</v>
      </c>
    </row>
    <row r="68" spans="1:4" x14ac:dyDescent="0.2">
      <c r="A68" s="9" t="s">
        <v>59</v>
      </c>
      <c r="B68" s="10">
        <v>4000</v>
      </c>
      <c r="C68" s="10">
        <f>4650</f>
        <v>4650</v>
      </c>
      <c r="D68" s="10">
        <f>3500</f>
        <v>3500</v>
      </c>
    </row>
    <row r="69" spans="1:4" x14ac:dyDescent="0.2">
      <c r="A69" s="9" t="s">
        <v>60</v>
      </c>
      <c r="B69" s="10">
        <v>200</v>
      </c>
      <c r="C69" s="10">
        <f>196.86</f>
        <v>196.86</v>
      </c>
      <c r="D69" s="10">
        <f>500</f>
        <v>500</v>
      </c>
    </row>
    <row r="70" spans="1:4" x14ac:dyDescent="0.2">
      <c r="A70" s="9" t="s">
        <v>61</v>
      </c>
      <c r="B70" s="10">
        <v>2900</v>
      </c>
      <c r="C70" s="10">
        <f>2738.79</f>
        <v>2738.79</v>
      </c>
      <c r="D70" s="10">
        <f>2475</f>
        <v>2475</v>
      </c>
    </row>
    <row r="71" spans="1:4" x14ac:dyDescent="0.2">
      <c r="A71" s="9" t="s">
        <v>62</v>
      </c>
      <c r="B71" s="10">
        <v>50</v>
      </c>
      <c r="C71" s="10">
        <f>39.13</f>
        <v>39.130000000000003</v>
      </c>
      <c r="D71" s="10">
        <f>25</f>
        <v>25</v>
      </c>
    </row>
    <row r="72" spans="1:4" x14ac:dyDescent="0.2">
      <c r="A72" s="9" t="s">
        <v>63</v>
      </c>
      <c r="B72" s="11">
        <f>((B69)+(B70))+(B71)</f>
        <v>3150</v>
      </c>
      <c r="C72" s="11">
        <f>((C69)+(C70))+(C71)</f>
        <v>2974.78</v>
      </c>
      <c r="D72" s="11">
        <f>((D69)+(D70))+(D71)</f>
        <v>3000</v>
      </c>
    </row>
    <row r="73" spans="1:4" x14ac:dyDescent="0.2">
      <c r="A73" s="8" t="s">
        <v>64</v>
      </c>
      <c r="B73" s="7"/>
      <c r="C73" s="7"/>
      <c r="D73" s="7"/>
    </row>
    <row r="74" spans="1:4" x14ac:dyDescent="0.2">
      <c r="A74" s="9" t="s">
        <v>49</v>
      </c>
      <c r="B74" s="10">
        <v>7500</v>
      </c>
      <c r="C74" s="10">
        <f>7480.77</f>
        <v>7480.77</v>
      </c>
      <c r="D74" s="10">
        <f>4500</f>
        <v>4500</v>
      </c>
    </row>
    <row r="75" spans="1:4" x14ac:dyDescent="0.2">
      <c r="A75" s="9" t="s">
        <v>65</v>
      </c>
      <c r="B75" s="10">
        <v>18000</v>
      </c>
      <c r="C75" s="10">
        <f>17719.64</f>
        <v>17719.64</v>
      </c>
      <c r="D75" s="10">
        <f>10000</f>
        <v>10000</v>
      </c>
    </row>
    <row r="76" spans="1:4" x14ac:dyDescent="0.2">
      <c r="A76" s="9" t="s">
        <v>51</v>
      </c>
      <c r="B76" s="7">
        <v>100</v>
      </c>
      <c r="C76" s="7"/>
      <c r="D76" s="10">
        <f>100</f>
        <v>100</v>
      </c>
    </row>
    <row r="77" spans="1:4" x14ac:dyDescent="0.2">
      <c r="A77" s="9" t="s">
        <v>66</v>
      </c>
      <c r="B77" s="10">
        <v>12000</v>
      </c>
      <c r="C77" s="10">
        <f>10628.37</f>
        <v>10628.37</v>
      </c>
      <c r="D77" s="10">
        <f>10000</f>
        <v>10000</v>
      </c>
    </row>
    <row r="78" spans="1:4" x14ac:dyDescent="0.2">
      <c r="A78" s="9" t="s">
        <v>67</v>
      </c>
      <c r="B78" s="11">
        <f>((((B73)+(B74))+(B75))+(B76))+(B77)</f>
        <v>37600</v>
      </c>
      <c r="C78" s="11">
        <f>((((C73)+(C74))+(C75))+(C76))+(C77)</f>
        <v>35828.78</v>
      </c>
      <c r="D78" s="11">
        <f>((((D73)+(D74))+(D75))+(D76))+(D77)</f>
        <v>24600</v>
      </c>
    </row>
    <row r="79" spans="1:4" x14ac:dyDescent="0.2">
      <c r="A79" s="13" t="s">
        <v>68</v>
      </c>
      <c r="B79" s="10">
        <v>2000</v>
      </c>
      <c r="C79" s="10">
        <f>1903</f>
        <v>1903</v>
      </c>
      <c r="D79" s="10">
        <f>2400</f>
        <v>2400</v>
      </c>
    </row>
    <row r="80" spans="1:4" x14ac:dyDescent="0.2">
      <c r="A80" s="8" t="s">
        <v>69</v>
      </c>
      <c r="B80" s="7"/>
      <c r="C80" s="7"/>
      <c r="D80" s="7"/>
    </row>
    <row r="81" spans="1:5" x14ac:dyDescent="0.2">
      <c r="A81" s="9" t="s">
        <v>70</v>
      </c>
      <c r="B81" s="10">
        <v>650</v>
      </c>
      <c r="C81" s="10">
        <f>635.2</f>
        <v>635.20000000000005</v>
      </c>
      <c r="D81" s="10">
        <f>2500</f>
        <v>2500</v>
      </c>
    </row>
    <row r="82" spans="1:5" x14ac:dyDescent="0.2">
      <c r="A82" s="17" t="s">
        <v>128</v>
      </c>
      <c r="B82" s="10">
        <v>750</v>
      </c>
      <c r="C82" s="10"/>
      <c r="D82" s="10"/>
    </row>
    <row r="83" spans="1:5" x14ac:dyDescent="0.2">
      <c r="A83" s="9" t="s">
        <v>71</v>
      </c>
      <c r="B83" s="7">
        <v>100</v>
      </c>
      <c r="C83" s="7"/>
      <c r="D83" s="10">
        <f>120</f>
        <v>120</v>
      </c>
    </row>
    <row r="84" spans="1:5" x14ac:dyDescent="0.2">
      <c r="A84" s="9" t="s">
        <v>72</v>
      </c>
      <c r="B84" s="7">
        <v>2200</v>
      </c>
      <c r="C84" s="7"/>
      <c r="D84" s="10">
        <f>3000</f>
        <v>3000</v>
      </c>
      <c r="E84" s="16" t="s">
        <v>127</v>
      </c>
    </row>
    <row r="85" spans="1:5" x14ac:dyDescent="0.2">
      <c r="A85" s="9" t="s">
        <v>73</v>
      </c>
      <c r="B85" s="10">
        <v>2000</v>
      </c>
      <c r="C85" s="10">
        <f>2000</f>
        <v>2000</v>
      </c>
      <c r="D85" s="10">
        <f>3000</f>
        <v>3000</v>
      </c>
    </row>
    <row r="86" spans="1:5" x14ac:dyDescent="0.2">
      <c r="A86" s="9" t="s">
        <v>74</v>
      </c>
      <c r="B86" s="11">
        <f>((((B80)+(B81))+(B83))+B82+(B84))+(B85)</f>
        <v>5700</v>
      </c>
      <c r="C86" s="11">
        <f>((((C80)+(C81))+(C83))+(C84))+(C85)</f>
        <v>2635.2</v>
      </c>
      <c r="D86" s="11">
        <f>((((D80)+(D81))+(D83))+(D84))+(D85)</f>
        <v>8620</v>
      </c>
    </row>
    <row r="87" spans="1:5" x14ac:dyDescent="0.2">
      <c r="A87" s="9" t="s">
        <v>75</v>
      </c>
      <c r="B87" s="7">
        <v>150</v>
      </c>
      <c r="C87" s="7"/>
      <c r="D87" s="10">
        <f>2000</f>
        <v>2000</v>
      </c>
    </row>
    <row r="88" spans="1:5" x14ac:dyDescent="0.2">
      <c r="A88" s="9" t="s">
        <v>76</v>
      </c>
      <c r="B88" s="10">
        <v>500</v>
      </c>
      <c r="C88" s="10">
        <f>400</f>
        <v>400</v>
      </c>
      <c r="D88" s="7"/>
    </row>
    <row r="89" spans="1:5" x14ac:dyDescent="0.2">
      <c r="A89" s="9" t="s">
        <v>77</v>
      </c>
      <c r="B89" s="7">
        <v>200</v>
      </c>
      <c r="C89" s="7"/>
      <c r="D89" s="10">
        <f>200</f>
        <v>200</v>
      </c>
    </row>
    <row r="90" spans="1:5" x14ac:dyDescent="0.2">
      <c r="A90" s="9" t="s">
        <v>78</v>
      </c>
      <c r="B90" s="10">
        <v>220</v>
      </c>
      <c r="C90" s="10">
        <f>215.45</f>
        <v>215.45</v>
      </c>
      <c r="D90" s="7"/>
    </row>
    <row r="91" spans="1:5" x14ac:dyDescent="0.2">
      <c r="A91" s="9" t="s">
        <v>18</v>
      </c>
      <c r="B91" s="10">
        <v>150</v>
      </c>
      <c r="C91" s="10">
        <f>292.3</f>
        <v>292.3</v>
      </c>
      <c r="D91" s="7"/>
    </row>
    <row r="92" spans="1:5" x14ac:dyDescent="0.2">
      <c r="A92" s="9" t="s">
        <v>79</v>
      </c>
      <c r="B92" s="10">
        <v>450</v>
      </c>
      <c r="C92" s="10">
        <f>406.76</f>
        <v>406.76</v>
      </c>
      <c r="D92" s="7"/>
    </row>
    <row r="93" spans="1:5" x14ac:dyDescent="0.2">
      <c r="A93" s="9" t="s">
        <v>80</v>
      </c>
      <c r="B93" s="7"/>
      <c r="C93" s="7"/>
      <c r="D93" s="10">
        <f>600</f>
        <v>600</v>
      </c>
    </row>
    <row r="94" spans="1:5" x14ac:dyDescent="0.2">
      <c r="A94" s="9" t="s">
        <v>81</v>
      </c>
      <c r="B94" s="10">
        <v>2000</v>
      </c>
      <c r="C94" s="10">
        <v>1985.29</v>
      </c>
      <c r="D94" s="10">
        <f>1000</f>
        <v>1000</v>
      </c>
    </row>
    <row r="95" spans="1:5" x14ac:dyDescent="0.2">
      <c r="A95" s="9" t="s">
        <v>82</v>
      </c>
      <c r="B95" s="10">
        <v>2500</v>
      </c>
      <c r="C95" s="10">
        <f>2544.7</f>
        <v>2544.6999999999998</v>
      </c>
      <c r="D95" s="10">
        <f>1500</f>
        <v>1500</v>
      </c>
    </row>
    <row r="96" spans="1:5" x14ac:dyDescent="0.2">
      <c r="A96" s="9" t="s">
        <v>83</v>
      </c>
      <c r="B96" s="10">
        <v>1020</v>
      </c>
      <c r="C96" s="10">
        <f>956.24</f>
        <v>956.24</v>
      </c>
      <c r="D96" s="10">
        <f>1000</f>
        <v>1000</v>
      </c>
    </row>
    <row r="97" spans="1:5" x14ac:dyDescent="0.2">
      <c r="A97" s="9" t="s">
        <v>84</v>
      </c>
      <c r="B97" s="7"/>
      <c r="C97" s="7"/>
      <c r="D97" s="7"/>
    </row>
    <row r="98" spans="1:5" x14ac:dyDescent="0.2">
      <c r="A98" s="9" t="s">
        <v>85</v>
      </c>
      <c r="B98" s="10">
        <v>200</v>
      </c>
      <c r="C98" s="10">
        <f>237.22</f>
        <v>237.22</v>
      </c>
      <c r="D98" s="7"/>
    </row>
    <row r="99" spans="1:5" x14ac:dyDescent="0.2">
      <c r="A99" s="9" t="s">
        <v>86</v>
      </c>
      <c r="B99" s="10">
        <v>1000</v>
      </c>
      <c r="C99" s="10">
        <f>6892.18</f>
        <v>6892.18</v>
      </c>
      <c r="D99" s="10">
        <f>5000</f>
        <v>5000</v>
      </c>
      <c r="E99" s="16" t="s">
        <v>129</v>
      </c>
    </row>
    <row r="100" spans="1:5" x14ac:dyDescent="0.2">
      <c r="A100" s="9" t="s">
        <v>87</v>
      </c>
      <c r="B100" s="11">
        <f>((B97)+(B98))+(B99)</f>
        <v>1200</v>
      </c>
      <c r="C100" s="11">
        <f>((C97)+(C98))+(C99)</f>
        <v>7129.4000000000005</v>
      </c>
      <c r="D100" s="11">
        <f>((D97)+(D98))+(D99)</f>
        <v>5000</v>
      </c>
    </row>
    <row r="101" spans="1:5" x14ac:dyDescent="0.2">
      <c r="A101" s="9" t="s">
        <v>88</v>
      </c>
      <c r="B101" s="7">
        <v>100</v>
      </c>
      <c r="C101" s="7"/>
      <c r="D101" s="10">
        <f>100</f>
        <v>100</v>
      </c>
    </row>
    <row r="102" spans="1:5" x14ac:dyDescent="0.2">
      <c r="A102" s="9" t="s">
        <v>89</v>
      </c>
      <c r="B102" s="7">
        <v>200</v>
      </c>
      <c r="C102" s="7"/>
      <c r="D102" s="10">
        <f>500</f>
        <v>500</v>
      </c>
    </row>
    <row r="103" spans="1:5" x14ac:dyDescent="0.2">
      <c r="A103" s="9" t="s">
        <v>90</v>
      </c>
      <c r="B103" s="7">
        <v>200</v>
      </c>
      <c r="C103" s="7"/>
      <c r="D103" s="10">
        <f>250</f>
        <v>250</v>
      </c>
    </row>
    <row r="104" spans="1:5" x14ac:dyDescent="0.2">
      <c r="A104" s="9" t="s">
        <v>91</v>
      </c>
      <c r="B104" s="7">
        <v>0</v>
      </c>
      <c r="C104" s="7"/>
      <c r="D104" s="10">
        <f>500</f>
        <v>500</v>
      </c>
    </row>
    <row r="105" spans="1:5" x14ac:dyDescent="0.2">
      <c r="A105" s="9" t="s">
        <v>92</v>
      </c>
      <c r="B105" s="11">
        <f>((((((((((((((((((((((B65)+(B66))+(B67))+(B68))+(B72))+(B78))+(B79))+(B86))+(B87))+(B88))+(B89))+(B90))+(B91))+(B92))+(B93))+(B94))+(B95))+(B96))+(B100))+(B101))+(B102))+(B103))+(B104)</f>
        <v>61840</v>
      </c>
      <c r="C105" s="11">
        <f>((((((((((((((((((((((C65)+(C66))+(C67))+(C68))+(C72))+(C78))+(C79))+(C86))+(C87))+(C88))+(C89))+(C90))+(C91))+(C92))+(C93))+(C94))+(C95))+(C96))+(C100))+(C101))+(C102))+(C103))+(C104)</f>
        <v>62421.899999999994</v>
      </c>
      <c r="D105" s="11">
        <f>((((((((((((((((((((((D65)+(D66))+(D67))+(D68))+(D72))+(D78))+(D79))+(D86))+(D87))+(D88))+(D89))+(D90))+(D91))+(D92))+(D93))+(D94))+(D95))+(D96))+(D100))+(D101))+(D102))+(D103))+(D104)</f>
        <v>55870</v>
      </c>
    </row>
    <row r="106" spans="1:5" x14ac:dyDescent="0.2">
      <c r="A106" s="8" t="s">
        <v>93</v>
      </c>
      <c r="B106" s="7"/>
      <c r="C106" s="7"/>
      <c r="D106" s="7"/>
    </row>
    <row r="107" spans="1:5" x14ac:dyDescent="0.2">
      <c r="A107" s="9" t="s">
        <v>33</v>
      </c>
      <c r="B107" s="10">
        <v>500</v>
      </c>
      <c r="C107" s="10">
        <f>450</f>
        <v>450</v>
      </c>
      <c r="D107" s="10">
        <f>500</f>
        <v>500</v>
      </c>
    </row>
    <row r="108" spans="1:5" x14ac:dyDescent="0.2">
      <c r="A108" s="9" t="s">
        <v>94</v>
      </c>
      <c r="B108" s="10">
        <v>300</v>
      </c>
      <c r="C108" s="10">
        <f>277.99</f>
        <v>277.99</v>
      </c>
      <c r="D108" s="7"/>
    </row>
    <row r="109" spans="1:5" x14ac:dyDescent="0.2">
      <c r="A109" s="9" t="s">
        <v>95</v>
      </c>
      <c r="B109" s="10">
        <v>33000</v>
      </c>
      <c r="C109" s="10">
        <f>31896</f>
        <v>31896</v>
      </c>
      <c r="D109" s="10">
        <f>27000</f>
        <v>27000</v>
      </c>
    </row>
    <row r="110" spans="1:5" x14ac:dyDescent="0.2">
      <c r="A110" s="9" t="s">
        <v>18</v>
      </c>
      <c r="B110" s="10">
        <v>1500</v>
      </c>
      <c r="C110" s="10">
        <f>1878.7</f>
        <v>1878.7</v>
      </c>
      <c r="D110" s="10">
        <f>1000</f>
        <v>1000</v>
      </c>
    </row>
    <row r="111" spans="1:5" x14ac:dyDescent="0.2">
      <c r="A111" s="9" t="s">
        <v>96</v>
      </c>
      <c r="B111" s="7">
        <v>1000</v>
      </c>
      <c r="C111" s="7"/>
      <c r="D111" s="10">
        <f>1000</f>
        <v>1000</v>
      </c>
    </row>
    <row r="112" spans="1:5" x14ac:dyDescent="0.2">
      <c r="A112" s="9" t="s">
        <v>97</v>
      </c>
      <c r="B112" s="7">
        <v>1000</v>
      </c>
      <c r="C112" s="7"/>
      <c r="D112" s="10">
        <f>1000</f>
        <v>1000</v>
      </c>
    </row>
    <row r="113" spans="1:4" x14ac:dyDescent="0.2">
      <c r="A113" s="9" t="s">
        <v>98</v>
      </c>
      <c r="B113" s="10">
        <v>7000</v>
      </c>
      <c r="C113" s="10">
        <f>5330</f>
        <v>5330</v>
      </c>
      <c r="D113" s="10">
        <f>10000</f>
        <v>10000</v>
      </c>
    </row>
    <row r="114" spans="1:4" x14ac:dyDescent="0.2">
      <c r="A114" s="9" t="s">
        <v>99</v>
      </c>
      <c r="B114" s="11">
        <f>(((((((B106)+(B107))+(B108))+(B109))+(B110))+(B111))+(B112))+(B113)</f>
        <v>44300</v>
      </c>
      <c r="C114" s="11">
        <f>(((((((C106)+(C107))+(C108))+(C109))+(C110))+(C111))+(C112))+(C113)</f>
        <v>39832.69</v>
      </c>
      <c r="D114" s="11">
        <f>(((((((D106)+(D107))+(D108))+(D109))+(D110))+(D111))+(D112))+(D113)</f>
        <v>40500</v>
      </c>
    </row>
    <row r="115" spans="1:4" x14ac:dyDescent="0.2">
      <c r="A115" s="8" t="s">
        <v>100</v>
      </c>
      <c r="B115" s="7"/>
      <c r="C115" s="7"/>
      <c r="D115" s="7"/>
    </row>
    <row r="116" spans="1:4" x14ac:dyDescent="0.2">
      <c r="A116" s="9" t="s">
        <v>101</v>
      </c>
      <c r="B116" s="10">
        <v>0</v>
      </c>
      <c r="C116" s="10">
        <f>6000</f>
        <v>6000</v>
      </c>
      <c r="D116" s="10">
        <f>6000</f>
        <v>6000</v>
      </c>
    </row>
    <row r="117" spans="1:4" x14ac:dyDescent="0.2">
      <c r="A117" s="9" t="s">
        <v>102</v>
      </c>
      <c r="B117" s="10">
        <v>0</v>
      </c>
      <c r="C117" s="10">
        <f>10360</f>
        <v>10360</v>
      </c>
      <c r="D117" s="10">
        <f>2500</f>
        <v>2500</v>
      </c>
    </row>
    <row r="118" spans="1:4" x14ac:dyDescent="0.2">
      <c r="A118" s="9" t="s">
        <v>18</v>
      </c>
      <c r="B118" s="10">
        <v>0</v>
      </c>
      <c r="C118" s="10">
        <f>284.45</f>
        <v>284.45</v>
      </c>
      <c r="D118" s="7"/>
    </row>
    <row r="119" spans="1:4" x14ac:dyDescent="0.2">
      <c r="A119" s="9" t="s">
        <v>103</v>
      </c>
      <c r="B119" s="10">
        <v>0</v>
      </c>
      <c r="C119" s="10">
        <f>148.52</f>
        <v>148.52000000000001</v>
      </c>
      <c r="D119" s="7"/>
    </row>
    <row r="120" spans="1:4" x14ac:dyDescent="0.2">
      <c r="A120" s="9" t="s">
        <v>97</v>
      </c>
      <c r="B120" s="10">
        <v>0</v>
      </c>
      <c r="C120" s="10">
        <f>2986.3</f>
        <v>2986.3</v>
      </c>
      <c r="D120" s="10">
        <f>500</f>
        <v>500</v>
      </c>
    </row>
    <row r="121" spans="1:4" x14ac:dyDescent="0.2">
      <c r="A121" s="9" t="s">
        <v>104</v>
      </c>
      <c r="B121" s="10">
        <v>0</v>
      </c>
      <c r="C121" s="10">
        <f>373.95</f>
        <v>373.95</v>
      </c>
      <c r="D121" s="10">
        <f>120</f>
        <v>120</v>
      </c>
    </row>
    <row r="122" spans="1:4" x14ac:dyDescent="0.2">
      <c r="A122" s="9" t="s">
        <v>105</v>
      </c>
      <c r="B122" s="7"/>
      <c r="C122" s="7"/>
      <c r="D122" s="10">
        <f>160</f>
        <v>160</v>
      </c>
    </row>
    <row r="123" spans="1:4" x14ac:dyDescent="0.2">
      <c r="A123" s="9" t="s">
        <v>106</v>
      </c>
      <c r="B123" s="11">
        <f>(((((((B115)+(B116))+(B117))+(B118))+(B119))+(B120))+(B121))+(B122)</f>
        <v>0</v>
      </c>
      <c r="C123" s="11">
        <f>(((((((C115)+(C116))+(C117))+(C118))+(C119))+(C120))+(C121))+(C122)</f>
        <v>20153.22</v>
      </c>
      <c r="D123" s="11">
        <f>(((((((D115)+(D116))+(D117))+(D118))+(D119))+(D120))+(D121))+(D122)</f>
        <v>9280</v>
      </c>
    </row>
    <row r="124" spans="1:4" x14ac:dyDescent="0.2">
      <c r="A124" s="9" t="s">
        <v>107</v>
      </c>
      <c r="B124" s="11">
        <f>((((B51)+(B64))+(B105))+(B114))+(B123)</f>
        <v>207540</v>
      </c>
      <c r="C124" s="11">
        <f>((((C51)+(C64))+(C105))+(C114))+(C123)</f>
        <v>224164.02</v>
      </c>
      <c r="D124" s="11">
        <f>((((D51)+(D64))+(D105))+(D114))+(D123)</f>
        <v>194350</v>
      </c>
    </row>
    <row r="125" spans="1:4" x14ac:dyDescent="0.2">
      <c r="A125" s="9" t="s">
        <v>108</v>
      </c>
      <c r="B125" s="11">
        <f>(B37)-(B124)</f>
        <v>310</v>
      </c>
      <c r="C125" s="11">
        <f>(C37)-(C124)</f>
        <v>-16687.97</v>
      </c>
      <c r="D125" s="11">
        <f>(D37)-(D124)</f>
        <v>0</v>
      </c>
    </row>
    <row r="126" spans="1:4" x14ac:dyDescent="0.2">
      <c r="A126" s="9" t="s">
        <v>109</v>
      </c>
      <c r="B126" s="14">
        <f>(B125)+(0)</f>
        <v>310</v>
      </c>
      <c r="C126" s="14">
        <f>(C125)+(0)</f>
        <v>-16687.97</v>
      </c>
      <c r="D126" s="14">
        <f>(D125)+(0)</f>
        <v>0</v>
      </c>
    </row>
    <row r="127" spans="1:4" x14ac:dyDescent="0.2">
      <c r="A127" s="9"/>
      <c r="B127" s="7"/>
      <c r="C127" s="7"/>
      <c r="D127" s="7"/>
    </row>
    <row r="128" spans="1:4" x14ac:dyDescent="0.2">
      <c r="A128" s="6"/>
      <c r="B128" s="6"/>
      <c r="C128" s="6"/>
      <c r="D128" s="6"/>
    </row>
    <row r="129" spans="1:4" x14ac:dyDescent="0.2">
      <c r="A129" s="6"/>
      <c r="B129" s="6"/>
      <c r="C129" s="6"/>
      <c r="D129" s="6"/>
    </row>
    <row r="130" spans="1:4" x14ac:dyDescent="0.2">
      <c r="A130" s="21">
        <v>45174</v>
      </c>
      <c r="B130" s="22"/>
      <c r="C130" s="22"/>
      <c r="D130" s="22"/>
    </row>
  </sheetData>
  <mergeCells count="5">
    <mergeCell ref="B5:D5"/>
    <mergeCell ref="A130:D130"/>
    <mergeCell ref="A1:D1"/>
    <mergeCell ref="A2:D2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Lindsay Carpenter</cp:lastModifiedBy>
  <dcterms:created xsi:type="dcterms:W3CDTF">2023-07-26T18:35:08Z</dcterms:created>
  <dcterms:modified xsi:type="dcterms:W3CDTF">2023-09-19T13:44:33Z</dcterms:modified>
</cp:coreProperties>
</file>